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755" activeTab="0"/>
  </bookViews>
  <sheets>
    <sheet name="土壌構成成分" sheetId="1" r:id="rId1"/>
    <sheet name="土壌呼吸量" sheetId="2" r:id="rId2"/>
  </sheets>
  <definedNames>
    <definedName name="_xlnm.Print_Area" localSheetId="0">'土壌構成成分'!$A$1:$R$39</definedName>
  </definedNames>
  <calcPr fullCalcOnLoad="1"/>
</workbook>
</file>

<file path=xl/sharedStrings.xml><?xml version="1.0" encoding="utf-8"?>
<sst xmlns="http://schemas.openxmlformats.org/spreadsheetml/2006/main" count="112" uniqueCount="80">
  <si>
    <t>1. 試料採取</t>
  </si>
  <si>
    <t>No.</t>
  </si>
  <si>
    <t>試料円筒高さ（cm）</t>
  </si>
  <si>
    <t>試料円筒直径（cm）</t>
  </si>
  <si>
    <t>試料円筒質量（g）</t>
  </si>
  <si>
    <t>試料円筒+土壌質量（g）</t>
  </si>
  <si>
    <t>2.含水比（含水率）</t>
  </si>
  <si>
    <t>秤量瓶質量（g）</t>
  </si>
  <si>
    <t>秤量瓶+土壌試料（乾）（g）</t>
  </si>
  <si>
    <t>秤量瓶+土壌試料（生）（g）</t>
  </si>
  <si>
    <t>含水比（-）</t>
  </si>
  <si>
    <t>含水率（-）</t>
  </si>
  <si>
    <t>例</t>
  </si>
  <si>
    <t>標準偏差</t>
  </si>
  <si>
    <t>平　均</t>
  </si>
  <si>
    <t>3.土壌粒子密度</t>
  </si>
  <si>
    <t>比重瓶質量（g）</t>
  </si>
  <si>
    <t>比重瓶+土壌試料（生）（g）</t>
  </si>
  <si>
    <t>水温（℃）</t>
  </si>
  <si>
    <r>
      <t>水の密度（g/cm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</si>
  <si>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比重瓶+土壌試料+水（g）</t>
  </si>
  <si>
    <t>比重瓶+水（g）</t>
  </si>
  <si>
    <r>
      <t>比重瓶内容積（cm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</si>
  <si>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r>
      <t>土壌粒子密度（g/cm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</si>
  <si>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るつぼ質量（g）</t>
  </si>
  <si>
    <t>るつぼ+土壌試料（生）（g）</t>
  </si>
  <si>
    <t>るつぼ+灰（g）</t>
  </si>
  <si>
    <t>4.有機物含有率（無機物含有率）</t>
  </si>
  <si>
    <t>有機物含有率（-）</t>
  </si>
  <si>
    <t>無機物含有率（-）</t>
  </si>
  <si>
    <r>
      <t>試料円筒体積（cm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</si>
  <si>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気相率（vol.%）</t>
  </si>
  <si>
    <t>液相率（vol.%）</t>
  </si>
  <si>
    <t>固相率（vol.%）</t>
  </si>
  <si>
    <t>-</t>
  </si>
  <si>
    <t>1. 雰囲気</t>
  </si>
  <si>
    <t>気温（℃）</t>
  </si>
  <si>
    <t>例</t>
  </si>
  <si>
    <t>気圧（kPa）</t>
  </si>
  <si>
    <t>水蒸気圧（Torr）</t>
  </si>
  <si>
    <t>水蒸気圧（kPa）</t>
  </si>
  <si>
    <r>
      <t>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ブンゼン吸収係数（-）</t>
    </r>
  </si>
  <si>
    <t>2.土壌</t>
  </si>
  <si>
    <t>土壌質量（g）</t>
  </si>
  <si>
    <t>含水率（-）</t>
  </si>
  <si>
    <t>乾物試料量（g）</t>
  </si>
  <si>
    <t>温圧計の目盛（ゼロ補正後，mm）</t>
  </si>
  <si>
    <t>A班</t>
  </si>
  <si>
    <t>B班</t>
  </si>
  <si>
    <t>C班</t>
  </si>
  <si>
    <t>平均</t>
  </si>
  <si>
    <t>時間（min）</t>
  </si>
  <si>
    <t>時間（s）</t>
  </si>
  <si>
    <t>土壌検圧計の目盛（ゼロ補正後，mm）</t>
  </si>
  <si>
    <t>標準偏差</t>
  </si>
  <si>
    <t>3. 比例定数</t>
  </si>
  <si>
    <r>
      <t>P</t>
    </r>
    <r>
      <rPr>
        <vertAlign val="subscript"/>
        <sz val="11"/>
        <color indexed="8"/>
        <rFont val="ＭＳ Ｐゴシック"/>
        <family val="3"/>
      </rPr>
      <t>0</t>
    </r>
    <r>
      <rPr>
        <sz val="11"/>
        <color theme="1"/>
        <rFont val="Calibri"/>
        <family val="3"/>
      </rPr>
      <t>（mm）</t>
    </r>
  </si>
  <si>
    <r>
      <t>Vg（mm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）=70000+200</t>
    </r>
  </si>
  <si>
    <t>Ｔ（K）</t>
  </si>
  <si>
    <r>
      <t>T</t>
    </r>
    <r>
      <rPr>
        <vertAlign val="subscript"/>
        <sz val="11"/>
        <color indexed="8"/>
        <rFont val="ＭＳ Ｐゴシック"/>
        <family val="3"/>
      </rPr>
      <t>0</t>
    </r>
    <r>
      <rPr>
        <sz val="11"/>
        <color theme="1"/>
        <rFont val="Calibri"/>
        <family val="3"/>
      </rPr>
      <t>（K）</t>
    </r>
  </si>
  <si>
    <r>
      <t>V</t>
    </r>
    <r>
      <rPr>
        <vertAlign val="subscript"/>
        <sz val="11"/>
        <color indexed="8"/>
        <rFont val="ＭＳ Ｐゴシック"/>
        <family val="3"/>
      </rPr>
      <t>f</t>
    </r>
    <r>
      <rPr>
        <sz val="11"/>
        <color theme="1"/>
        <rFont val="Calibri"/>
        <family val="3"/>
      </rPr>
      <t>（mm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</si>
  <si>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r>
      <t>水の密度（g/cm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</si>
  <si>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r>
      <t>S（mm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）</t>
    </r>
  </si>
  <si>
    <r>
      <t>k（mm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）</t>
    </r>
  </si>
  <si>
    <t>4. 検圧計の値</t>
  </si>
  <si>
    <t>5. 酸素吸収量，二酸化炭素生成量，グルコース中炭素分解量</t>
  </si>
  <si>
    <r>
      <t>Ｏ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吸収量（mm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</si>
  <si>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r>
      <t>Ｏ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吸収量（mol）</t>
    </r>
  </si>
  <si>
    <t>土壌乾燥質量あたりの呼吸量（mol/kg）</t>
  </si>
  <si>
    <t>Glu添加量（mol）</t>
  </si>
  <si>
    <t>Glu中炭素の現存量（mol/kg）</t>
  </si>
  <si>
    <t>6. 反応次数に対する速度定数および半減期（ターンノーバー）</t>
  </si>
  <si>
    <t>0次反応（1/s)</t>
  </si>
  <si>
    <t>0次反応（mol/kg/s)</t>
  </si>
  <si>
    <t>2次反応（kg/mol/s))</t>
  </si>
  <si>
    <t>標準偏差s</t>
  </si>
  <si>
    <t>平均x</t>
  </si>
  <si>
    <t>s/x*100</t>
  </si>
  <si>
    <t>半減期(s)</t>
  </si>
  <si>
    <t>ターンノーバー（s）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</si>
</sst>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"/>
    <numFmt numFmtId="178" formatCode="0.0000_ "/>
    <numFmt numFmtId="179" formatCode="0.000_ "/>
    <numFmt numFmtId="180" formatCode="0.00_ "/>
    <numFmt numFmtId="181" formatCode="0.00000"/>
    <numFmt numFmtId="182" formatCode="0.000"/>
    <numFmt numFmtId="183" formatCode="0.000000"/>
    <numFmt numFmtId="184" formatCode="0.0000000"/>
    <numFmt numFmtId="185" formatCode="0.0000E+00"/>
    <numFmt numFmtId="186" formatCode="0.00000E+00"/>
    <numFmt numFmtId="187" formatCode="0.000E+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>
        <color indexed="56"/>
      </left>
      <right style="thin"/>
      <top style="thin"/>
      <bottom style="thin"/>
    </border>
    <border>
      <left style="thin"/>
      <right style="thick">
        <color indexed="56"/>
      </right>
      <top style="thin"/>
      <bottom style="thin"/>
    </border>
    <border>
      <left style="thick">
        <color indexed="56"/>
      </left>
      <right style="thin"/>
      <top style="thin"/>
      <bottom style="thick">
        <color indexed="56"/>
      </bottom>
    </border>
    <border>
      <left style="thin"/>
      <right style="thin"/>
      <top style="thin"/>
      <bottom style="thick">
        <color indexed="56"/>
      </bottom>
    </border>
    <border>
      <left style="thin"/>
      <right style="thick">
        <color indexed="56"/>
      </right>
      <top style="thin"/>
      <bottom style="thick">
        <color indexed="56"/>
      </bottom>
    </border>
    <border>
      <left style="thin"/>
      <right/>
      <top style="thin"/>
      <bottom style="thin"/>
    </border>
    <border>
      <left style="thin"/>
      <right/>
      <top style="thin"/>
      <bottom style="thick">
        <color indexed="56"/>
      </bottom>
    </border>
    <border>
      <left style="thin"/>
      <right style="thin"/>
      <top style="thin"/>
      <bottom/>
    </border>
    <border>
      <left style="thin"/>
      <right style="thick">
        <color indexed="56"/>
      </right>
      <top style="thin"/>
      <bottom/>
    </border>
    <border>
      <left style="thin"/>
      <right/>
      <top style="thin"/>
      <bottom/>
    </border>
    <border>
      <left style="thick">
        <color theme="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thin"/>
      <right style="thick">
        <color theme="3"/>
      </right>
      <top style="thin"/>
      <bottom style="thick">
        <color theme="3"/>
      </bottom>
    </border>
    <border>
      <left style="thin"/>
      <right style="thick">
        <color theme="3"/>
      </right>
      <top style="thin"/>
      <bottom/>
    </border>
    <border>
      <left style="thin"/>
      <right/>
      <top style="thin"/>
      <bottom style="thick">
        <color theme="3"/>
      </bottom>
    </border>
    <border>
      <left style="thin"/>
      <right style="thin"/>
      <top style="thick">
        <color theme="3"/>
      </top>
      <bottom style="thin"/>
    </border>
    <border>
      <left style="thin"/>
      <right style="thick">
        <color theme="3"/>
      </right>
      <top style="thick">
        <color theme="3"/>
      </top>
      <bottom style="thin"/>
    </border>
    <border>
      <left style="thin"/>
      <right style="thin"/>
      <top style="thick">
        <color indexed="56"/>
      </top>
      <bottom style="thin"/>
    </border>
    <border>
      <left style="thin"/>
      <right style="thick">
        <color indexed="56"/>
      </right>
      <top style="thick">
        <color indexed="56"/>
      </top>
      <bottom/>
    </border>
    <border>
      <left style="thin"/>
      <right style="thick">
        <color indexed="56"/>
      </right>
      <top/>
      <bottom style="thin"/>
    </border>
    <border>
      <left style="thin"/>
      <right style="thick">
        <color indexed="56"/>
      </right>
      <top style="thick">
        <color indexed="56"/>
      </top>
      <bottom style="thin"/>
    </border>
    <border>
      <left style="thick">
        <color indexed="56"/>
      </left>
      <right style="thin"/>
      <top style="thick">
        <color indexed="56"/>
      </top>
      <bottom style="thin"/>
    </border>
    <border>
      <left style="thin"/>
      <right/>
      <top style="thick">
        <color indexed="56"/>
      </top>
      <bottom style="thin"/>
    </border>
    <border>
      <left style="thick">
        <color theme="3"/>
      </left>
      <right style="thin"/>
      <top style="thick">
        <color theme="3"/>
      </top>
      <bottom style="thin"/>
    </border>
    <border>
      <left style="thin"/>
      <right/>
      <top style="thick">
        <color theme="3"/>
      </top>
      <bottom style="thin"/>
    </border>
    <border>
      <left style="thin"/>
      <right style="thin"/>
      <top style="thick">
        <color theme="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theme="3"/>
      </left>
      <right style="thin"/>
      <top style="thick">
        <color theme="3"/>
      </top>
      <bottom>
        <color indexed="63"/>
      </bottom>
    </border>
    <border>
      <left style="thick">
        <color theme="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theme="3"/>
      </top>
      <bottom/>
    </border>
    <border>
      <left style="thin"/>
      <right>
        <color indexed="63"/>
      </right>
      <top/>
      <bottom style="thin"/>
    </border>
    <border>
      <left style="thick">
        <color theme="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10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0" fontId="0" fillId="0" borderId="2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180" fontId="0" fillId="0" borderId="26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7" fontId="0" fillId="0" borderId="2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187" fontId="0" fillId="0" borderId="18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87" fontId="0" fillId="35" borderId="10" xfId="0" applyNumberFormat="1" applyFill="1" applyBorder="1" applyAlignment="1">
      <alignment vertical="center"/>
    </xf>
    <xf numFmtId="185" fontId="0" fillId="35" borderId="10" xfId="0" applyNumberForma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1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27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9075"/>
          <c:w val="0.491"/>
          <c:h val="0.81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'土壌構成成分'!$H$2:$J$2</c:f>
              <c:strCache/>
            </c:strRef>
          </c:cat>
          <c:val>
            <c:numRef>
              <c:f>'土壌構成成分'!$H$4:$J$4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75"/>
          <c:y val="0.395"/>
          <c:w val="0.237"/>
          <c:h val="0.2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吸収量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25"/>
          <c:w val="0.88425"/>
          <c:h val="0.85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'土壌呼吸量'!$E$24</c:f>
              <c:strCache>
                <c:ptCount val="1"/>
                <c:pt idx="0">
                  <c:v>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'土壌呼吸量'!$B$25:$B$34</c:f>
              <c:numCache/>
            </c:numRef>
          </c:xVal>
          <c:yVal>
            <c:numRef>
              <c:f>'土壌呼吸量'!$E$25:$E$34</c:f>
              <c:numCache/>
            </c:numRef>
          </c:yVal>
          <c:smooth val="0"/>
        </c:ser>
        <c:axId val="12396734"/>
        <c:axId val="44461743"/>
      </c:scatterChart>
      <c:valAx>
        <c:axId val="12396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1743"/>
        <c:crosses val="autoZero"/>
        <c:crossBetween val="midCat"/>
        <c:dispUnits/>
      </c:valAx>
      <c:valAx>
        <c:axId val="44461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67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"/>
          <c:y val="0.53025"/>
          <c:w val="0.0742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Glu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中炭素現存量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525"/>
          <c:w val="0.8905"/>
          <c:h val="0.85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'土壌呼吸量'!$E$24</c:f>
              <c:strCache>
                <c:ptCount val="1"/>
                <c:pt idx="0">
                  <c:v>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'土壌呼吸量'!$B$25:$B$34</c:f>
              <c:numCache/>
            </c:numRef>
          </c:xVal>
          <c:yVal>
            <c:numRef>
              <c:f>'土壌呼吸量'!$K$25:$K$34</c:f>
              <c:numCache/>
            </c:numRef>
          </c:yVal>
          <c:smooth val="0"/>
        </c:ser>
        <c:axId val="64611368"/>
        <c:axId val="44631401"/>
      </c:scatterChart>
      <c:valAx>
        <c:axId val="6461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1401"/>
        <c:crosses val="autoZero"/>
        <c:crossBetween val="midCat"/>
        <c:dispUnits/>
      </c:valAx>
      <c:valAx>
        <c:axId val="44631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3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"/>
          <c:y val="0.53025"/>
          <c:w val="0.0742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</xdr:row>
      <xdr:rowOff>0</xdr:rowOff>
    </xdr:from>
    <xdr:to>
      <xdr:col>17</xdr:col>
      <xdr:colOff>28575</xdr:colOff>
      <xdr:row>14</xdr:row>
      <xdr:rowOff>28575</xdr:rowOff>
    </xdr:to>
    <xdr:graphicFrame>
      <xdr:nvGraphicFramePr>
        <xdr:cNvPr id="1" name="グラフ 1"/>
        <xdr:cNvGraphicFramePr/>
      </xdr:nvGraphicFramePr>
      <xdr:xfrm>
        <a:off x="6448425" y="180975"/>
        <a:ext cx="4114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21</xdr:row>
      <xdr:rowOff>0</xdr:rowOff>
    </xdr:from>
    <xdr:to>
      <xdr:col>20</xdr:col>
      <xdr:colOff>504825</xdr:colOff>
      <xdr:row>36</xdr:row>
      <xdr:rowOff>104775</xdr:rowOff>
    </xdr:to>
    <xdr:graphicFrame>
      <xdr:nvGraphicFramePr>
        <xdr:cNvPr id="1" name="グラフ 1"/>
        <xdr:cNvGraphicFramePr/>
      </xdr:nvGraphicFramePr>
      <xdr:xfrm>
        <a:off x="8877300" y="3876675"/>
        <a:ext cx="4057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36</xdr:row>
      <xdr:rowOff>123825</xdr:rowOff>
    </xdr:from>
    <xdr:to>
      <xdr:col>20</xdr:col>
      <xdr:colOff>504825</xdr:colOff>
      <xdr:row>52</xdr:row>
      <xdr:rowOff>133350</xdr:rowOff>
    </xdr:to>
    <xdr:graphicFrame>
      <xdr:nvGraphicFramePr>
        <xdr:cNvPr id="2" name="グラフ 1"/>
        <xdr:cNvGraphicFramePr/>
      </xdr:nvGraphicFramePr>
      <xdr:xfrm>
        <a:off x="8877300" y="6657975"/>
        <a:ext cx="4057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6" max="7" width="10.421875" style="0" customWidth="1"/>
  </cols>
  <sheetData>
    <row r="1" spans="1:10" ht="14.25" thickBot="1">
      <c r="A1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" customHeight="1" thickTop="1">
      <c r="A2" s="38"/>
      <c r="B2" s="79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30</v>
      </c>
      <c r="H2" s="60" t="s">
        <v>31</v>
      </c>
      <c r="I2" s="60" t="s">
        <v>32</v>
      </c>
      <c r="J2" s="62" t="s">
        <v>33</v>
      </c>
    </row>
    <row r="3" spans="1:10" ht="17.25" customHeight="1">
      <c r="A3" s="38"/>
      <c r="B3" s="80"/>
      <c r="C3" s="61"/>
      <c r="D3" s="61"/>
      <c r="E3" s="61"/>
      <c r="F3" s="61"/>
      <c r="G3" s="61"/>
      <c r="H3" s="61"/>
      <c r="I3" s="61"/>
      <c r="J3" s="63"/>
    </row>
    <row r="4" spans="1:10" ht="14.25" customHeight="1">
      <c r="A4" s="39" t="s">
        <v>12</v>
      </c>
      <c r="B4" s="32"/>
      <c r="C4" s="12">
        <v>2.5</v>
      </c>
      <c r="D4" s="12">
        <v>5</v>
      </c>
      <c r="E4" s="24">
        <v>57.58</v>
      </c>
      <c r="F4" s="24">
        <v>103.15</v>
      </c>
      <c r="G4" s="25">
        <f>(D4/2)^2*PI()*C4</f>
        <v>49.08738521234052</v>
      </c>
      <c r="H4" s="26">
        <f>100-(I4+J4)</f>
        <v>36.678818136512334</v>
      </c>
      <c r="I4" s="26">
        <f>(F4-E4)*G14/G4*100</f>
        <v>34.07392577194069</v>
      </c>
      <c r="J4" s="40">
        <f>((F4-E4)*(1-G14)/L24)/G4*100</f>
        <v>29.24725609154698</v>
      </c>
    </row>
    <row r="5" spans="1:10" ht="13.5">
      <c r="A5" s="38">
        <v>1</v>
      </c>
      <c r="B5" s="41"/>
      <c r="C5" s="1"/>
      <c r="D5" s="1"/>
      <c r="E5" s="1"/>
      <c r="F5" s="1"/>
      <c r="G5" s="25">
        <f>(D5/2)^2*PI()*C5</f>
        <v>0</v>
      </c>
      <c r="H5" s="27" t="s">
        <v>34</v>
      </c>
      <c r="I5" s="26" t="e">
        <f>(F5-E5)*$G$18/G5*100</f>
        <v>#DIV/0!</v>
      </c>
      <c r="J5" s="40" t="e">
        <f>((F5-E5)*(1-$G$18)/L25)/G5*100</f>
        <v>#DIV/0!</v>
      </c>
    </row>
    <row r="6" spans="1:10" ht="13.5">
      <c r="A6" s="38">
        <v>2</v>
      </c>
      <c r="B6" s="41"/>
      <c r="C6" s="1"/>
      <c r="D6" s="1"/>
      <c r="E6" s="1"/>
      <c r="F6" s="1"/>
      <c r="G6" s="25">
        <f>(D6/2)^2*PI()*C6</f>
        <v>0</v>
      </c>
      <c r="H6" s="27" t="s">
        <v>34</v>
      </c>
      <c r="I6" s="26" t="e">
        <f>(F6-E6)*$G$18/G6*100</f>
        <v>#DIV/0!</v>
      </c>
      <c r="J6" s="40" t="e">
        <f>((F6-E6)*(1-$G$18)/L26)/G6*100</f>
        <v>#DIV/0!</v>
      </c>
    </row>
    <row r="7" spans="1:10" ht="14.25" thickBot="1">
      <c r="A7" s="38">
        <v>3</v>
      </c>
      <c r="B7" s="42"/>
      <c r="C7" s="36"/>
      <c r="D7" s="36"/>
      <c r="E7" s="36"/>
      <c r="F7" s="36"/>
      <c r="G7" s="28">
        <f>(D7/2)^2*PI()*C7</f>
        <v>0</v>
      </c>
      <c r="H7" s="29" t="s">
        <v>34</v>
      </c>
      <c r="I7" s="30" t="e">
        <f>(F7-E7)*$G$18/G7*100</f>
        <v>#DIV/0!</v>
      </c>
      <c r="J7" s="43" t="e">
        <f>((F7-E7)*(1-$G$18)/L27)/G7*100</f>
        <v>#DIV/0!</v>
      </c>
    </row>
    <row r="8" spans="7:10" ht="14.25" thickTop="1">
      <c r="G8" s="32" t="s">
        <v>14</v>
      </c>
      <c r="H8" s="31" t="e">
        <f>100-(I8+J8)</f>
        <v>#DIV/0!</v>
      </c>
      <c r="I8" s="26" t="e">
        <f>AVERAGE(I5:I7)</f>
        <v>#DIV/0!</v>
      </c>
      <c r="J8" s="33" t="e">
        <f>AVERAGE(J5:J7)</f>
        <v>#DIV/0!</v>
      </c>
    </row>
    <row r="9" spans="7:10" ht="14.25" thickBot="1">
      <c r="G9" s="34" t="s">
        <v>13</v>
      </c>
      <c r="H9" s="35" t="s">
        <v>34</v>
      </c>
      <c r="I9" s="36" t="e">
        <f>STDEV(I5:I7)</f>
        <v>#DIV/0!</v>
      </c>
      <c r="J9" s="37" t="e">
        <f>STDEV(J5:J7)</f>
        <v>#DIV/0!</v>
      </c>
    </row>
    <row r="10" ht="14.25" thickTop="1"/>
    <row r="11" ht="14.25" thickBot="1">
      <c r="A11" t="s">
        <v>6</v>
      </c>
    </row>
    <row r="12" spans="2:7" ht="14.25" thickTop="1">
      <c r="B12" s="75" t="s">
        <v>1</v>
      </c>
      <c r="C12" s="68" t="s">
        <v>7</v>
      </c>
      <c r="D12" s="68" t="s">
        <v>9</v>
      </c>
      <c r="E12" s="68" t="s">
        <v>8</v>
      </c>
      <c r="F12" s="77" t="s">
        <v>10</v>
      </c>
      <c r="G12" s="73" t="s">
        <v>11</v>
      </c>
    </row>
    <row r="13" spans="2:7" ht="32.25" customHeight="1">
      <c r="B13" s="76"/>
      <c r="C13" s="61"/>
      <c r="D13" s="61"/>
      <c r="E13" s="61"/>
      <c r="F13" s="78"/>
      <c r="G13" s="74"/>
    </row>
    <row r="14" spans="1:7" ht="15.75" customHeight="1">
      <c r="A14" s="11" t="s">
        <v>12</v>
      </c>
      <c r="B14" s="9"/>
      <c r="C14" s="10">
        <v>15.9138</v>
      </c>
      <c r="D14" s="10">
        <v>18.9162</v>
      </c>
      <c r="E14" s="10">
        <v>17.8142</v>
      </c>
      <c r="F14" s="13">
        <f>(D14-E14)/(E14-C14)</f>
        <v>0.579877920437803</v>
      </c>
      <c r="G14" s="14">
        <f>(D14-E14)/(D14-C14)</f>
        <v>0.3670397015720758</v>
      </c>
    </row>
    <row r="15" spans="1:7" ht="13.5">
      <c r="A15">
        <v>1</v>
      </c>
      <c r="B15" s="2"/>
      <c r="C15" s="1"/>
      <c r="D15" s="1"/>
      <c r="E15" s="1"/>
      <c r="F15" s="13" t="e">
        <f>(D15-E15)/(E15-C15)</f>
        <v>#DIV/0!</v>
      </c>
      <c r="G15" s="3" t="e">
        <f>(D15-E15)/(D15-C15)</f>
        <v>#DIV/0!</v>
      </c>
    </row>
    <row r="16" spans="1:7" ht="13.5">
      <c r="A16">
        <v>2</v>
      </c>
      <c r="B16" s="2"/>
      <c r="C16" s="1"/>
      <c r="D16" s="1"/>
      <c r="E16" s="1"/>
      <c r="F16" s="7" t="e">
        <f>(D16-E16)/(E16-C16)</f>
        <v>#DIV/0!</v>
      </c>
      <c r="G16" s="3" t="e">
        <f>(D16-E16)/(D16-C16)</f>
        <v>#DIV/0!</v>
      </c>
    </row>
    <row r="17" spans="1:7" ht="14.25" thickBot="1">
      <c r="A17">
        <v>3</v>
      </c>
      <c r="B17" s="4"/>
      <c r="C17" s="5"/>
      <c r="D17" s="5"/>
      <c r="E17" s="15"/>
      <c r="F17" s="18" t="e">
        <f>(D17-E17)/(E17-C17)</f>
        <v>#DIV/0!</v>
      </c>
      <c r="G17" s="16" t="e">
        <f>(D17-E17)/(D17-C17)</f>
        <v>#DIV/0!</v>
      </c>
    </row>
    <row r="18" spans="5:7" ht="14.25" thickTop="1">
      <c r="E18" s="9" t="s">
        <v>14</v>
      </c>
      <c r="F18" s="1" t="e">
        <f>AVERAGE(F15:F17)</f>
        <v>#DIV/0!</v>
      </c>
      <c r="G18" s="3" t="e">
        <f>AVERAGE(G15:G17)</f>
        <v>#DIV/0!</v>
      </c>
    </row>
    <row r="19" spans="5:7" ht="14.25" thickBot="1">
      <c r="E19" s="17" t="s">
        <v>13</v>
      </c>
      <c r="F19" s="5" t="e">
        <f>STDEV(F15:F17)</f>
        <v>#DIV/0!</v>
      </c>
      <c r="G19" s="6" t="e">
        <f>STDEV(G15:G17)</f>
        <v>#DIV/0!</v>
      </c>
    </row>
    <row r="20" ht="14.25" thickTop="1"/>
    <row r="21" ht="14.25" thickBot="1">
      <c r="A21" t="s">
        <v>15</v>
      </c>
    </row>
    <row r="22" spans="2:12" ht="36" customHeight="1" thickTop="1">
      <c r="B22" s="75" t="s">
        <v>1</v>
      </c>
      <c r="C22" s="68" t="s">
        <v>16</v>
      </c>
      <c r="D22" s="68" t="s">
        <v>17</v>
      </c>
      <c r="E22" s="64" t="s">
        <v>20</v>
      </c>
      <c r="F22" s="64" t="s">
        <v>18</v>
      </c>
      <c r="G22" s="64" t="s">
        <v>19</v>
      </c>
      <c r="H22" s="71" t="s">
        <v>21</v>
      </c>
      <c r="I22" s="71" t="s">
        <v>18</v>
      </c>
      <c r="J22" s="71" t="s">
        <v>19</v>
      </c>
      <c r="K22" s="68" t="s">
        <v>22</v>
      </c>
      <c r="L22" s="69" t="s">
        <v>23</v>
      </c>
    </row>
    <row r="23" spans="2:12" ht="12.75" customHeight="1">
      <c r="B23" s="76"/>
      <c r="C23" s="61"/>
      <c r="D23" s="61"/>
      <c r="E23" s="65"/>
      <c r="F23" s="65"/>
      <c r="G23" s="65"/>
      <c r="H23" s="72"/>
      <c r="I23" s="72"/>
      <c r="J23" s="72"/>
      <c r="K23" s="61"/>
      <c r="L23" s="70"/>
    </row>
    <row r="24" spans="1:12" ht="13.5">
      <c r="A24" s="11" t="s">
        <v>12</v>
      </c>
      <c r="B24" s="9"/>
      <c r="C24" s="10">
        <v>32.9038</v>
      </c>
      <c r="D24" s="10">
        <v>35.2202</v>
      </c>
      <c r="E24" s="10">
        <v>88.1631</v>
      </c>
      <c r="F24" s="20">
        <v>24</v>
      </c>
      <c r="G24" s="19">
        <v>0.997299</v>
      </c>
      <c r="H24" s="1">
        <v>87.4743</v>
      </c>
      <c r="I24" s="21">
        <v>20</v>
      </c>
      <c r="J24" s="22">
        <v>0.998206</v>
      </c>
      <c r="K24" s="22">
        <f>(H24-C24)/J24</f>
        <v>54.668575424311214</v>
      </c>
      <c r="L24" s="23">
        <f>((D24-C24)*(1-G14))/(K24-((E24-(D24-C24)*(1-G14)-C24)/G24))</f>
        <v>2.009094997830324</v>
      </c>
    </row>
    <row r="25" spans="1:12" ht="13.5">
      <c r="A25">
        <v>1</v>
      </c>
      <c r="B25" s="2"/>
      <c r="C25" s="1"/>
      <c r="D25" s="1"/>
      <c r="E25" s="1"/>
      <c r="F25" s="1"/>
      <c r="G25" s="1"/>
      <c r="H25" s="1"/>
      <c r="I25" s="1"/>
      <c r="J25" s="1"/>
      <c r="K25" s="1" t="e">
        <f>(H25-C25)/J25</f>
        <v>#DIV/0!</v>
      </c>
      <c r="L25" s="3" t="e">
        <f>((D25-C25)*(1-$G$18))/(K25-((E25-(D25-C25)*(1-$G$18)-C25)/G25))</f>
        <v>#DIV/0!</v>
      </c>
    </row>
    <row r="26" spans="1:12" ht="13.5">
      <c r="A26">
        <v>2</v>
      </c>
      <c r="B26" s="2"/>
      <c r="C26" s="1"/>
      <c r="D26" s="1"/>
      <c r="E26" s="1"/>
      <c r="F26" s="1"/>
      <c r="G26" s="1"/>
      <c r="H26" s="1"/>
      <c r="I26" s="1"/>
      <c r="J26" s="1"/>
      <c r="K26" s="1" t="e">
        <f>(H26-C26)/J26</f>
        <v>#DIV/0!</v>
      </c>
      <c r="L26" s="3" t="e">
        <f>((D26-C26)*(1-$G$18))/(K26-((E26-(D26-C26)*(1-$G$18)-C26)/G26))</f>
        <v>#DIV/0!</v>
      </c>
    </row>
    <row r="27" spans="1:12" ht="14.25" thickBot="1">
      <c r="A27">
        <v>3</v>
      </c>
      <c r="B27" s="4"/>
      <c r="C27" s="5"/>
      <c r="D27" s="5"/>
      <c r="E27" s="5"/>
      <c r="F27" s="5"/>
      <c r="G27" s="5"/>
      <c r="H27" s="5"/>
      <c r="I27" s="5"/>
      <c r="J27" s="8"/>
      <c r="K27" s="15" t="e">
        <f>(H27-C27)/J27</f>
        <v>#DIV/0!</v>
      </c>
      <c r="L27" s="16" t="e">
        <f>((D27-C27)*(1-$G$18))/(K27-((E27-(D27-C27)*(1-$G$18)-C27)/G27))</f>
        <v>#DIV/0!</v>
      </c>
    </row>
    <row r="28" spans="11:12" ht="14.25" thickTop="1">
      <c r="K28" s="9" t="s">
        <v>14</v>
      </c>
      <c r="L28" s="3" t="e">
        <f>AVERAGE(L25:L27)</f>
        <v>#DIV/0!</v>
      </c>
    </row>
    <row r="29" spans="11:12" ht="14.25" thickBot="1">
      <c r="K29" s="17" t="s">
        <v>13</v>
      </c>
      <c r="L29" s="6" t="e">
        <f>STDEV(L25:L27)</f>
        <v>#DIV/0!</v>
      </c>
    </row>
    <row r="30" ht="15" thickBot="1" thickTop="1">
      <c r="A30" t="s">
        <v>27</v>
      </c>
    </row>
    <row r="31" spans="2:7" ht="14.25" thickTop="1">
      <c r="B31" s="75" t="s">
        <v>1</v>
      </c>
      <c r="C31" s="68" t="s">
        <v>24</v>
      </c>
      <c r="D31" s="68" t="s">
        <v>25</v>
      </c>
      <c r="E31" s="68" t="s">
        <v>26</v>
      </c>
      <c r="F31" s="77" t="s">
        <v>28</v>
      </c>
      <c r="G31" s="66" t="s">
        <v>29</v>
      </c>
    </row>
    <row r="32" spans="2:7" ht="13.5">
      <c r="B32" s="76"/>
      <c r="C32" s="61"/>
      <c r="D32" s="61"/>
      <c r="E32" s="61"/>
      <c r="F32" s="78"/>
      <c r="G32" s="67"/>
    </row>
    <row r="33" spans="1:7" ht="13.5">
      <c r="A33" s="11" t="s">
        <v>12</v>
      </c>
      <c r="B33" s="9"/>
      <c r="C33" s="10">
        <v>22.2158</v>
      </c>
      <c r="D33" s="10">
        <v>24.5625</v>
      </c>
      <c r="E33" s="10">
        <v>23.1742</v>
      </c>
      <c r="F33" s="13">
        <f>(D33-E33)/(D33-C33)-G14</f>
        <v>0.2245570087019268</v>
      </c>
      <c r="G33" s="14">
        <f>1-F33</f>
        <v>0.7754429912980731</v>
      </c>
    </row>
    <row r="34" spans="1:7" ht="13.5">
      <c r="A34">
        <v>1</v>
      </c>
      <c r="B34" s="2"/>
      <c r="C34" s="1"/>
      <c r="D34" s="1"/>
      <c r="E34" s="1"/>
      <c r="F34" s="13" t="e">
        <f>(D34-E34)/(D34-C34)-$G$18</f>
        <v>#DIV/0!</v>
      </c>
      <c r="G34" s="3" t="e">
        <f>(D34-E34)/(D34-C34)</f>
        <v>#DIV/0!</v>
      </c>
    </row>
    <row r="35" spans="1:7" ht="13.5">
      <c r="A35">
        <v>2</v>
      </c>
      <c r="B35" s="2"/>
      <c r="C35" s="1"/>
      <c r="D35" s="1"/>
      <c r="E35" s="1"/>
      <c r="F35" s="7" t="e">
        <f>(D35-E35)/(D35-C35)-$G$18</f>
        <v>#DIV/0!</v>
      </c>
      <c r="G35" s="3" t="e">
        <f>(D35-E35)/(D35-C35)</f>
        <v>#DIV/0!</v>
      </c>
    </row>
    <row r="36" spans="1:7" ht="14.25" thickBot="1">
      <c r="A36">
        <v>3</v>
      </c>
      <c r="B36" s="4"/>
      <c r="C36" s="5"/>
      <c r="D36" s="5"/>
      <c r="E36" s="15"/>
      <c r="F36" s="18" t="e">
        <f>(D36-E36)/(D36-C36)-$G$18</f>
        <v>#DIV/0!</v>
      </c>
      <c r="G36" s="16" t="e">
        <f>(D36-E36)/(D36-C36)</f>
        <v>#DIV/0!</v>
      </c>
    </row>
    <row r="37" spans="5:7" ht="14.25" thickTop="1">
      <c r="E37" s="9" t="s">
        <v>14</v>
      </c>
      <c r="F37" s="1" t="e">
        <f>AVERAGE(F34:F36)</f>
        <v>#DIV/0!</v>
      </c>
      <c r="G37" s="3" t="e">
        <f>AVERAGE(G34:G36)</f>
        <v>#DIV/0!</v>
      </c>
    </row>
    <row r="38" spans="5:7" ht="14.25" thickBot="1">
      <c r="E38" s="17" t="s">
        <v>13</v>
      </c>
      <c r="F38" s="5" t="e">
        <f>STDEV(F34:F36)</f>
        <v>#DIV/0!</v>
      </c>
      <c r="G38" s="6" t="e">
        <f>STDEV(G34:G36)</f>
        <v>#DIV/0!</v>
      </c>
    </row>
    <row r="39" ht="14.25" thickTop="1"/>
  </sheetData>
  <sheetProtection/>
  <mergeCells count="32">
    <mergeCell ref="D12:D13"/>
    <mergeCell ref="E12:E13"/>
    <mergeCell ref="E22:E23"/>
    <mergeCell ref="F22:F23"/>
    <mergeCell ref="F12:F13"/>
    <mergeCell ref="C2:C3"/>
    <mergeCell ref="D2:D3"/>
    <mergeCell ref="B2:B3"/>
    <mergeCell ref="E2:E3"/>
    <mergeCell ref="F2:F3"/>
    <mergeCell ref="B12:B13"/>
    <mergeCell ref="C12:C13"/>
    <mergeCell ref="G12:G13"/>
    <mergeCell ref="H2:H3"/>
    <mergeCell ref="B31:B32"/>
    <mergeCell ref="C31:C32"/>
    <mergeCell ref="D31:D32"/>
    <mergeCell ref="E31:E32"/>
    <mergeCell ref="F31:F32"/>
    <mergeCell ref="B22:B23"/>
    <mergeCell ref="C22:C23"/>
    <mergeCell ref="D22:D23"/>
    <mergeCell ref="I2:I3"/>
    <mergeCell ref="J2:J3"/>
    <mergeCell ref="G22:G23"/>
    <mergeCell ref="G31:G32"/>
    <mergeCell ref="K22:K23"/>
    <mergeCell ref="L22:L23"/>
    <mergeCell ref="G2:G3"/>
    <mergeCell ref="H22:H23"/>
    <mergeCell ref="I22:I23"/>
    <mergeCell ref="J22:J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4"/>
  <sheetViews>
    <sheetView zoomScalePageLayoutView="0" workbookViewId="0" topLeftCell="A1">
      <selection activeCell="L39" sqref="L39"/>
    </sheetView>
  </sheetViews>
  <sheetFormatPr defaultColWidth="9.140625" defaultRowHeight="15"/>
  <cols>
    <col min="3" max="3" width="10.421875" style="0" customWidth="1"/>
    <col min="4" max="4" width="9.00390625" style="0" customWidth="1"/>
    <col min="5" max="5" width="10.00390625" style="0" customWidth="1"/>
    <col min="6" max="6" width="9.421875" style="0" customWidth="1"/>
    <col min="7" max="7" width="9.57421875" style="0" customWidth="1"/>
    <col min="10" max="10" width="9.421875" style="0" customWidth="1"/>
    <col min="11" max="11" width="9.8515625" style="0" customWidth="1"/>
    <col min="14" max="14" width="9.00390625" style="0" customWidth="1"/>
  </cols>
  <sheetData>
    <row r="2" spans="1:15" ht="14.25" thickBot="1">
      <c r="A2" t="s">
        <v>35</v>
      </c>
      <c r="I2" t="s">
        <v>42</v>
      </c>
      <c r="O2" t="s">
        <v>55</v>
      </c>
    </row>
    <row r="3" spans="2:22" ht="16.5" customHeight="1" thickTop="1">
      <c r="B3" s="89" t="s">
        <v>36</v>
      </c>
      <c r="C3" s="60" t="s">
        <v>38</v>
      </c>
      <c r="D3" s="60" t="s">
        <v>39</v>
      </c>
      <c r="E3" s="60" t="s">
        <v>40</v>
      </c>
      <c r="F3" s="91" t="s">
        <v>41</v>
      </c>
      <c r="G3" s="62" t="s">
        <v>61</v>
      </c>
      <c r="J3" s="94" t="s">
        <v>43</v>
      </c>
      <c r="K3" s="92" t="s">
        <v>44</v>
      </c>
      <c r="L3" s="96" t="s">
        <v>45</v>
      </c>
      <c r="M3" s="62" t="s">
        <v>69</v>
      </c>
      <c r="N3" s="109"/>
      <c r="P3" s="79" t="s">
        <v>56</v>
      </c>
      <c r="Q3" s="60" t="s">
        <v>57</v>
      </c>
      <c r="R3" s="85" t="s">
        <v>58</v>
      </c>
      <c r="S3" s="85" t="s">
        <v>59</v>
      </c>
      <c r="T3" s="85" t="s">
        <v>60</v>
      </c>
      <c r="U3" s="85" t="s">
        <v>62</v>
      </c>
      <c r="V3" s="86" t="s">
        <v>63</v>
      </c>
    </row>
    <row r="4" spans="2:22" ht="25.5" customHeight="1">
      <c r="B4" s="90"/>
      <c r="C4" s="61"/>
      <c r="D4" s="61"/>
      <c r="E4" s="61"/>
      <c r="F4" s="78"/>
      <c r="G4" s="63"/>
      <c r="J4" s="95"/>
      <c r="K4" s="93"/>
      <c r="L4" s="97"/>
      <c r="M4" s="63"/>
      <c r="N4" s="109"/>
      <c r="P4" s="80"/>
      <c r="Q4" s="61"/>
      <c r="R4" s="81"/>
      <c r="S4" s="81"/>
      <c r="T4" s="81"/>
      <c r="U4" s="81"/>
      <c r="V4" s="82"/>
    </row>
    <row r="5" spans="1:22" ht="13.5">
      <c r="A5" s="11" t="s">
        <v>37</v>
      </c>
      <c r="B5" s="44">
        <v>20</v>
      </c>
      <c r="C5" s="1">
        <v>98.5</v>
      </c>
      <c r="D5" s="1">
        <v>17.536</v>
      </c>
      <c r="E5" s="21">
        <f>D5*133.322/1000</f>
        <v>2.337934592</v>
      </c>
      <c r="F5" s="48">
        <v>0.031</v>
      </c>
      <c r="G5" s="33">
        <v>0.998206</v>
      </c>
      <c r="I5" s="11" t="s">
        <v>37</v>
      </c>
      <c r="J5" s="44">
        <v>10</v>
      </c>
      <c r="K5" s="45">
        <v>0.3</v>
      </c>
      <c r="L5" s="52">
        <f>J5*(1-K5)</f>
        <v>7</v>
      </c>
      <c r="M5" s="33">
        <f>0.5*0.001</f>
        <v>0.0005</v>
      </c>
      <c r="N5" s="38"/>
      <c r="O5" s="11" t="s">
        <v>37</v>
      </c>
      <c r="P5" s="41">
        <v>10330</v>
      </c>
      <c r="Q5" s="1">
        <v>70200</v>
      </c>
      <c r="R5" s="26">
        <f>B5+273.15</f>
        <v>293.15</v>
      </c>
      <c r="S5" s="1">
        <v>273.15</v>
      </c>
      <c r="T5" s="45">
        <f>(J5*K5)/G5*1000+1000</f>
        <v>4005.391672660753</v>
      </c>
      <c r="U5" s="45">
        <v>0.5</v>
      </c>
      <c r="V5" s="46">
        <f>((1/P5)*(Q5*(S5/R5)+T5*F5))+U5*(S5/R5)</f>
        <v>6.810012664993656</v>
      </c>
    </row>
    <row r="6" spans="2:22" ht="14.25" thickBot="1">
      <c r="B6" s="42"/>
      <c r="C6" s="36"/>
      <c r="D6" s="36"/>
      <c r="E6" s="47">
        <f>D6*133.322/1000</f>
        <v>0</v>
      </c>
      <c r="F6" s="49"/>
      <c r="G6" s="37"/>
      <c r="J6" s="42"/>
      <c r="K6" s="36"/>
      <c r="L6" s="110">
        <f>J6*(1-K6)</f>
        <v>0</v>
      </c>
      <c r="M6" s="37"/>
      <c r="N6" s="38"/>
      <c r="P6" s="42"/>
      <c r="Q6" s="36"/>
      <c r="R6" s="111">
        <f>B6+273.15</f>
        <v>273.15</v>
      </c>
      <c r="S6" s="36"/>
      <c r="T6" s="56" t="e">
        <f>(J6*K6)/G6*1000+1000</f>
        <v>#DIV/0!</v>
      </c>
      <c r="U6" s="36"/>
      <c r="V6" s="112" t="e">
        <f>((1/P6)*(Q6*(S6/R6)+T6*F6))+U6*(S6/R6)</f>
        <v>#DIV/0!</v>
      </c>
    </row>
    <row r="7" ht="14.25" thickTop="1"/>
    <row r="8" ht="14.25" thickBot="1">
      <c r="A8" t="s">
        <v>64</v>
      </c>
    </row>
    <row r="9" spans="2:15" ht="14.25" thickTop="1">
      <c r="B9" s="89" t="s">
        <v>51</v>
      </c>
      <c r="C9" s="85" t="s">
        <v>52</v>
      </c>
      <c r="D9" s="85" t="s">
        <v>46</v>
      </c>
      <c r="E9" s="85"/>
      <c r="F9" s="85"/>
      <c r="G9" s="85"/>
      <c r="H9" s="85"/>
      <c r="I9" s="85"/>
      <c r="J9" s="85" t="s">
        <v>53</v>
      </c>
      <c r="K9" s="85"/>
      <c r="L9" s="85"/>
      <c r="M9" s="85"/>
      <c r="N9" s="85"/>
      <c r="O9" s="86"/>
    </row>
    <row r="10" spans="2:15" ht="13.5">
      <c r="B10" s="90"/>
      <c r="C10" s="81"/>
      <c r="D10" s="50" t="s">
        <v>37</v>
      </c>
      <c r="E10" s="50" t="s">
        <v>47</v>
      </c>
      <c r="F10" s="50" t="s">
        <v>48</v>
      </c>
      <c r="G10" s="50" t="s">
        <v>49</v>
      </c>
      <c r="H10" s="50" t="s">
        <v>50</v>
      </c>
      <c r="I10" s="50" t="s">
        <v>54</v>
      </c>
      <c r="J10" s="50" t="s">
        <v>37</v>
      </c>
      <c r="K10" s="50">
        <v>1</v>
      </c>
      <c r="L10" s="50">
        <v>2</v>
      </c>
      <c r="M10" s="50">
        <v>3</v>
      </c>
      <c r="N10" s="50" t="s">
        <v>50</v>
      </c>
      <c r="O10" s="51" t="s">
        <v>54</v>
      </c>
    </row>
    <row r="11" spans="2:15" ht="13.5">
      <c r="B11" s="41">
        <v>0</v>
      </c>
      <c r="C11" s="1">
        <f>B11*60</f>
        <v>0</v>
      </c>
      <c r="D11" s="21">
        <v>0</v>
      </c>
      <c r="E11" s="1"/>
      <c r="F11" s="1"/>
      <c r="G11" s="1"/>
      <c r="H11" s="1" t="e">
        <f>AVERAGE(E11:G11)</f>
        <v>#DIV/0!</v>
      </c>
      <c r="I11" s="1" t="e">
        <f>STDEV(E11:G11)</f>
        <v>#DIV/0!</v>
      </c>
      <c r="J11" s="21">
        <v>0</v>
      </c>
      <c r="K11" s="1"/>
      <c r="L11" s="1"/>
      <c r="M11" s="1"/>
      <c r="N11" s="1" t="e">
        <f>AVERAGE(K11:M11)</f>
        <v>#DIV/0!</v>
      </c>
      <c r="O11" s="33" t="e">
        <f>STDEV(K11:M11)</f>
        <v>#DIV/0!</v>
      </c>
    </row>
    <row r="12" spans="2:15" ht="13.5">
      <c r="B12" s="41">
        <v>1</v>
      </c>
      <c r="C12" s="1">
        <f aca="true" t="shared" si="0" ref="C12:C20">B12*60</f>
        <v>60</v>
      </c>
      <c r="D12" s="21">
        <v>0</v>
      </c>
      <c r="E12" s="1"/>
      <c r="F12" s="1"/>
      <c r="G12" s="1"/>
      <c r="H12" s="1" t="e">
        <f aca="true" t="shared" si="1" ref="H12:H20">AVERAGE(E12:G12)</f>
        <v>#DIV/0!</v>
      </c>
      <c r="I12" s="1" t="e">
        <f aca="true" t="shared" si="2" ref="I12:I20">STDEV(E12:G12)</f>
        <v>#DIV/0!</v>
      </c>
      <c r="J12" s="21">
        <v>0</v>
      </c>
      <c r="K12" s="1"/>
      <c r="L12" s="1"/>
      <c r="M12" s="1"/>
      <c r="N12" s="1" t="e">
        <f aca="true" t="shared" si="3" ref="N12:N20">AVERAGE(K12:M12)</f>
        <v>#DIV/0!</v>
      </c>
      <c r="O12" s="33" t="e">
        <f aca="true" t="shared" si="4" ref="O12:O20">STDEV(K12:M12)</f>
        <v>#DIV/0!</v>
      </c>
    </row>
    <row r="13" spans="2:15" ht="13.5">
      <c r="B13" s="41">
        <v>2</v>
      </c>
      <c r="C13" s="1">
        <f t="shared" si="0"/>
        <v>120</v>
      </c>
      <c r="D13" s="21">
        <v>-0.5</v>
      </c>
      <c r="E13" s="1"/>
      <c r="F13" s="1"/>
      <c r="G13" s="1"/>
      <c r="H13" s="1" t="e">
        <f t="shared" si="1"/>
        <v>#DIV/0!</v>
      </c>
      <c r="I13" s="1" t="e">
        <f t="shared" si="2"/>
        <v>#DIV/0!</v>
      </c>
      <c r="J13" s="21">
        <v>0.5</v>
      </c>
      <c r="K13" s="1"/>
      <c r="L13" s="1"/>
      <c r="M13" s="1"/>
      <c r="N13" s="1" t="e">
        <f t="shared" si="3"/>
        <v>#DIV/0!</v>
      </c>
      <c r="O13" s="33" t="e">
        <f t="shared" si="4"/>
        <v>#DIV/0!</v>
      </c>
    </row>
    <row r="14" spans="2:15" ht="13.5">
      <c r="B14" s="41">
        <v>4</v>
      </c>
      <c r="C14" s="1">
        <f t="shared" si="0"/>
        <v>240</v>
      </c>
      <c r="D14" s="21">
        <v>-0.5</v>
      </c>
      <c r="E14" s="1"/>
      <c r="F14" s="1"/>
      <c r="G14" s="1"/>
      <c r="H14" s="1" t="e">
        <f t="shared" si="1"/>
        <v>#DIV/0!</v>
      </c>
      <c r="I14" s="1" t="e">
        <f t="shared" si="2"/>
        <v>#DIV/0!</v>
      </c>
      <c r="J14" s="21">
        <v>1.5</v>
      </c>
      <c r="K14" s="1"/>
      <c r="L14" s="1"/>
      <c r="M14" s="1"/>
      <c r="N14" s="1" t="e">
        <f t="shared" si="3"/>
        <v>#DIV/0!</v>
      </c>
      <c r="O14" s="33" t="e">
        <f t="shared" si="4"/>
        <v>#DIV/0!</v>
      </c>
    </row>
    <row r="15" spans="2:15" ht="13.5">
      <c r="B15" s="41">
        <v>8</v>
      </c>
      <c r="C15" s="1">
        <f t="shared" si="0"/>
        <v>480</v>
      </c>
      <c r="D15" s="21">
        <v>-1</v>
      </c>
      <c r="E15" s="1"/>
      <c r="F15" s="1"/>
      <c r="G15" s="1"/>
      <c r="H15" s="1" t="e">
        <f t="shared" si="1"/>
        <v>#DIV/0!</v>
      </c>
      <c r="I15" s="1" t="e">
        <f t="shared" si="2"/>
        <v>#DIV/0!</v>
      </c>
      <c r="J15" s="21">
        <v>2.5</v>
      </c>
      <c r="K15" s="1"/>
      <c r="L15" s="1"/>
      <c r="M15" s="1"/>
      <c r="N15" s="1" t="e">
        <f t="shared" si="3"/>
        <v>#DIV/0!</v>
      </c>
      <c r="O15" s="33" t="e">
        <f t="shared" si="4"/>
        <v>#DIV/0!</v>
      </c>
    </row>
    <row r="16" spans="2:15" ht="13.5">
      <c r="B16" s="41">
        <v>15</v>
      </c>
      <c r="C16" s="1">
        <f t="shared" si="0"/>
        <v>900</v>
      </c>
      <c r="D16" s="21">
        <v>-1</v>
      </c>
      <c r="E16" s="1"/>
      <c r="F16" s="1"/>
      <c r="G16" s="1"/>
      <c r="H16" s="1" t="e">
        <f t="shared" si="1"/>
        <v>#DIV/0!</v>
      </c>
      <c r="I16" s="1" t="e">
        <f t="shared" si="2"/>
        <v>#DIV/0!</v>
      </c>
      <c r="J16" s="21">
        <v>5.5</v>
      </c>
      <c r="K16" s="1"/>
      <c r="L16" s="1"/>
      <c r="M16" s="1"/>
      <c r="N16" s="1" t="e">
        <f t="shared" si="3"/>
        <v>#DIV/0!</v>
      </c>
      <c r="O16" s="33" t="e">
        <f t="shared" si="4"/>
        <v>#DIV/0!</v>
      </c>
    </row>
    <row r="17" spans="2:15" ht="13.5">
      <c r="B17" s="41">
        <v>30</v>
      </c>
      <c r="C17" s="1">
        <f t="shared" si="0"/>
        <v>1800</v>
      </c>
      <c r="D17" s="21">
        <v>-0.5</v>
      </c>
      <c r="E17" s="1"/>
      <c r="F17" s="1"/>
      <c r="G17" s="1"/>
      <c r="H17" s="1" t="e">
        <f t="shared" si="1"/>
        <v>#DIV/0!</v>
      </c>
      <c r="I17" s="1" t="e">
        <f t="shared" si="2"/>
        <v>#DIV/0!</v>
      </c>
      <c r="J17" s="21">
        <v>12</v>
      </c>
      <c r="K17" s="1"/>
      <c r="L17" s="1"/>
      <c r="M17" s="1"/>
      <c r="N17" s="1" t="e">
        <f t="shared" si="3"/>
        <v>#DIV/0!</v>
      </c>
      <c r="O17" s="33" t="e">
        <f t="shared" si="4"/>
        <v>#DIV/0!</v>
      </c>
    </row>
    <row r="18" spans="2:15" ht="13.5">
      <c r="B18" s="41">
        <v>40</v>
      </c>
      <c r="C18" s="1">
        <f t="shared" si="0"/>
        <v>2400</v>
      </c>
      <c r="D18" s="21"/>
      <c r="E18" s="1"/>
      <c r="F18" s="1"/>
      <c r="G18" s="1"/>
      <c r="H18" s="1" t="e">
        <f t="shared" si="1"/>
        <v>#DIV/0!</v>
      </c>
      <c r="I18" s="1" t="e">
        <f t="shared" si="2"/>
        <v>#DIV/0!</v>
      </c>
      <c r="J18" s="21"/>
      <c r="K18" s="1"/>
      <c r="L18" s="1"/>
      <c r="M18" s="1"/>
      <c r="N18" s="1" t="e">
        <f t="shared" si="3"/>
        <v>#DIV/0!</v>
      </c>
      <c r="O18" s="33" t="e">
        <f t="shared" si="4"/>
        <v>#DIV/0!</v>
      </c>
    </row>
    <row r="19" spans="2:15" ht="13.5">
      <c r="B19" s="41">
        <v>50</v>
      </c>
      <c r="C19" s="1">
        <f t="shared" si="0"/>
        <v>3000</v>
      </c>
      <c r="D19" s="21">
        <v>-0.5</v>
      </c>
      <c r="E19" s="1"/>
      <c r="F19" s="1"/>
      <c r="G19" s="1"/>
      <c r="H19" s="1" t="e">
        <f t="shared" si="1"/>
        <v>#DIV/0!</v>
      </c>
      <c r="I19" s="1" t="e">
        <f t="shared" si="2"/>
        <v>#DIV/0!</v>
      </c>
      <c r="J19" s="21">
        <v>20.5</v>
      </c>
      <c r="K19" s="1"/>
      <c r="L19" s="1"/>
      <c r="M19" s="1"/>
      <c r="N19" s="1" t="e">
        <f t="shared" si="3"/>
        <v>#DIV/0!</v>
      </c>
      <c r="O19" s="33" t="e">
        <f t="shared" si="4"/>
        <v>#DIV/0!</v>
      </c>
    </row>
    <row r="20" spans="2:15" ht="14.25" thickBot="1">
      <c r="B20" s="42">
        <v>60</v>
      </c>
      <c r="C20" s="36">
        <f t="shared" si="0"/>
        <v>3600</v>
      </c>
      <c r="D20" s="47">
        <v>-0.5</v>
      </c>
      <c r="E20" s="36"/>
      <c r="F20" s="36"/>
      <c r="G20" s="36"/>
      <c r="H20" s="36" t="e">
        <f t="shared" si="1"/>
        <v>#DIV/0!</v>
      </c>
      <c r="I20" s="36" t="e">
        <f t="shared" si="2"/>
        <v>#DIV/0!</v>
      </c>
      <c r="J20" s="47">
        <v>25.5</v>
      </c>
      <c r="K20" s="36"/>
      <c r="L20" s="36"/>
      <c r="M20" s="36"/>
      <c r="N20" s="36" t="e">
        <f t="shared" si="3"/>
        <v>#DIV/0!</v>
      </c>
      <c r="O20" s="37" t="e">
        <f t="shared" si="4"/>
        <v>#DIV/0!</v>
      </c>
    </row>
    <row r="21" ht="14.25" thickTop="1"/>
    <row r="22" ht="14.25" thickBot="1">
      <c r="A22" t="s">
        <v>65</v>
      </c>
    </row>
    <row r="23" spans="2:14" ht="16.5" customHeight="1" thickTop="1">
      <c r="B23" s="79" t="s">
        <v>52</v>
      </c>
      <c r="C23" s="85" t="s">
        <v>66</v>
      </c>
      <c r="D23" s="85"/>
      <c r="E23" s="85" t="s">
        <v>67</v>
      </c>
      <c r="F23" s="85"/>
      <c r="G23" s="85" t="s">
        <v>68</v>
      </c>
      <c r="H23" s="85"/>
      <c r="I23" s="85"/>
      <c r="J23" s="85"/>
      <c r="K23" s="85" t="s">
        <v>70</v>
      </c>
      <c r="L23" s="85"/>
      <c r="M23" s="85"/>
      <c r="N23" s="86"/>
    </row>
    <row r="24" spans="2:14" ht="13.5">
      <c r="B24" s="80"/>
      <c r="C24" s="50" t="s">
        <v>37</v>
      </c>
      <c r="D24" s="1"/>
      <c r="E24" s="50" t="s">
        <v>37</v>
      </c>
      <c r="F24" s="1"/>
      <c r="G24" s="81" t="s">
        <v>37</v>
      </c>
      <c r="H24" s="81"/>
      <c r="I24" s="81"/>
      <c r="J24" s="81"/>
      <c r="K24" s="81" t="s">
        <v>37</v>
      </c>
      <c r="L24" s="81"/>
      <c r="M24" s="81"/>
      <c r="N24" s="82"/>
    </row>
    <row r="25" spans="2:14" ht="13.5">
      <c r="B25" s="41">
        <f>C11</f>
        <v>0</v>
      </c>
      <c r="C25" s="45">
        <f>(J11-D11)*$V$5</f>
        <v>0</v>
      </c>
      <c r="D25" s="45" t="e">
        <f>(N11-H11)*$V$6</f>
        <v>#DIV/0!</v>
      </c>
      <c r="E25" s="53">
        <f>($S$5*($C$5-$E$5)*C25/1000000)/($R$5*101.13*22.41)</f>
        <v>0</v>
      </c>
      <c r="F25" s="53" t="e">
        <f>($S$6*($C$6-$E$6)*D25/1000000)/($R$6*101.13*22.41)</f>
        <v>#DIV/0!</v>
      </c>
      <c r="G25" s="87">
        <f>E25/($L$5/1000)</f>
        <v>0</v>
      </c>
      <c r="H25" s="87"/>
      <c r="I25" s="87" t="e">
        <f>F25/($L$6/1000)</f>
        <v>#DIV/0!</v>
      </c>
      <c r="J25" s="87"/>
      <c r="K25" s="54">
        <f>$M$5*6-E25</f>
        <v>0.003</v>
      </c>
      <c r="L25" s="55"/>
      <c r="M25" s="113" t="e">
        <f>$M$6*6-I25</f>
        <v>#DIV/0!</v>
      </c>
      <c r="N25" s="82">
        <f>$M$5*6-H25</f>
        <v>0.003</v>
      </c>
    </row>
    <row r="26" spans="2:14" ht="13.5">
      <c r="B26" s="41">
        <f aca="true" t="shared" si="5" ref="B26:B34">C12</f>
        <v>60</v>
      </c>
      <c r="C26" s="45">
        <f>(J12-D12)*$V$5</f>
        <v>0</v>
      </c>
      <c r="D26" s="45" t="e">
        <f aca="true" t="shared" si="6" ref="D26:D34">(N12-H12)*$V$6</f>
        <v>#DIV/0!</v>
      </c>
      <c r="E26" s="53">
        <f>($S$5*($C$5-$E$5)*C26/1000000)/($R$5*101.13*22.41)</f>
        <v>0</v>
      </c>
      <c r="F26" s="53" t="e">
        <f aca="true" t="shared" si="7" ref="F26:F34">($S$6*($C$6-$E$6)*D26/1000000)/($R$6*101.13*22.41)</f>
        <v>#DIV/0!</v>
      </c>
      <c r="G26" s="87">
        <f aca="true" t="shared" si="8" ref="G26:G34">E26/($L$5/1000)</f>
        <v>0</v>
      </c>
      <c r="H26" s="87"/>
      <c r="I26" s="87" t="e">
        <f aca="true" t="shared" si="9" ref="I26:I34">F26/($L$6/1000)</f>
        <v>#DIV/0!</v>
      </c>
      <c r="J26" s="87"/>
      <c r="K26" s="54">
        <f aca="true" t="shared" si="10" ref="K26:K34">$M$5*6-E26</f>
        <v>0.003</v>
      </c>
      <c r="L26" s="55"/>
      <c r="M26" s="113" t="e">
        <f aca="true" t="shared" si="11" ref="M26:M34">$M$6*6-I26</f>
        <v>#DIV/0!</v>
      </c>
      <c r="N26" s="82">
        <f aca="true" t="shared" si="12" ref="N26:N34">$M$5*6-H26</f>
        <v>0.003</v>
      </c>
    </row>
    <row r="27" spans="2:14" ht="14.25" customHeight="1">
      <c r="B27" s="41">
        <f t="shared" si="5"/>
        <v>120</v>
      </c>
      <c r="C27" s="45">
        <f>(J13-D13)*$V$5</f>
        <v>6.810012664993656</v>
      </c>
      <c r="D27" s="45" t="e">
        <f t="shared" si="6"/>
        <v>#DIV/0!</v>
      </c>
      <c r="E27" s="53">
        <f>($S$5*($C$5-$E$5)*C27/1000000)/($R$5*101.13*22.41)</f>
        <v>2.6924096896764283E-07</v>
      </c>
      <c r="F27" s="53" t="e">
        <f t="shared" si="7"/>
        <v>#DIV/0!</v>
      </c>
      <c r="G27" s="87">
        <f t="shared" si="8"/>
        <v>3.846299556680612E-05</v>
      </c>
      <c r="H27" s="87"/>
      <c r="I27" s="87" t="e">
        <f t="shared" si="9"/>
        <v>#DIV/0!</v>
      </c>
      <c r="J27" s="87"/>
      <c r="K27" s="54">
        <f t="shared" si="10"/>
        <v>0.0029997307590310324</v>
      </c>
      <c r="L27" s="55"/>
      <c r="M27" s="113" t="e">
        <f t="shared" si="11"/>
        <v>#DIV/0!</v>
      </c>
      <c r="N27" s="82">
        <f t="shared" si="12"/>
        <v>0.003</v>
      </c>
    </row>
    <row r="28" spans="2:14" ht="13.5">
      <c r="B28" s="41">
        <f t="shared" si="5"/>
        <v>240</v>
      </c>
      <c r="C28" s="45">
        <f>(J14-D14)*$V$5</f>
        <v>13.620025329987312</v>
      </c>
      <c r="D28" s="45" t="e">
        <f t="shared" si="6"/>
        <v>#DIV/0!</v>
      </c>
      <c r="E28" s="53">
        <f>($S$5*($C$5-$E$5)*C28/1000000)/($R$5*101.13*22.41)</f>
        <v>5.384819379352857E-07</v>
      </c>
      <c r="F28" s="53" t="e">
        <f t="shared" si="7"/>
        <v>#DIV/0!</v>
      </c>
      <c r="G28" s="87">
        <f t="shared" si="8"/>
        <v>7.692599113361223E-05</v>
      </c>
      <c r="H28" s="87"/>
      <c r="I28" s="87" t="e">
        <f t="shared" si="9"/>
        <v>#DIV/0!</v>
      </c>
      <c r="J28" s="87"/>
      <c r="K28" s="54">
        <f t="shared" si="10"/>
        <v>0.0029994615180620647</v>
      </c>
      <c r="L28" s="55"/>
      <c r="M28" s="113" t="e">
        <f t="shared" si="11"/>
        <v>#DIV/0!</v>
      </c>
      <c r="N28" s="82">
        <f t="shared" si="12"/>
        <v>0.003</v>
      </c>
    </row>
    <row r="29" spans="2:14" ht="13.5">
      <c r="B29" s="41">
        <f t="shared" si="5"/>
        <v>480</v>
      </c>
      <c r="C29" s="45">
        <f>(J15-D15)*$V$5</f>
        <v>23.835044327477796</v>
      </c>
      <c r="D29" s="45" t="e">
        <f t="shared" si="6"/>
        <v>#DIV/0!</v>
      </c>
      <c r="E29" s="53">
        <f>($S$5*($C$5-$E$5)*C29/1000000)/($R$5*101.13*22.41)</f>
        <v>9.423433913867498E-07</v>
      </c>
      <c r="F29" s="53" t="e">
        <f t="shared" si="7"/>
        <v>#DIV/0!</v>
      </c>
      <c r="G29" s="87">
        <f t="shared" si="8"/>
        <v>0.0001346204844838214</v>
      </c>
      <c r="H29" s="87"/>
      <c r="I29" s="87" t="e">
        <f t="shared" si="9"/>
        <v>#DIV/0!</v>
      </c>
      <c r="J29" s="87"/>
      <c r="K29" s="54">
        <f t="shared" si="10"/>
        <v>0.0029990576566086133</v>
      </c>
      <c r="L29" s="55"/>
      <c r="M29" s="113" t="e">
        <f t="shared" si="11"/>
        <v>#DIV/0!</v>
      </c>
      <c r="N29" s="82">
        <f t="shared" si="12"/>
        <v>0.003</v>
      </c>
    </row>
    <row r="30" spans="2:14" ht="13.5">
      <c r="B30" s="41">
        <f t="shared" si="5"/>
        <v>900</v>
      </c>
      <c r="C30" s="45">
        <f>(J16-D16)*$V$5</f>
        <v>44.26508232245877</v>
      </c>
      <c r="D30" s="45" t="e">
        <f t="shared" si="6"/>
        <v>#DIV/0!</v>
      </c>
      <c r="E30" s="53">
        <f>($S$5*($C$5-$E$5)*C30/1000000)/($R$5*101.13*22.41)</f>
        <v>1.7500662982896784E-06</v>
      </c>
      <c r="F30" s="53" t="e">
        <f t="shared" si="7"/>
        <v>#DIV/0!</v>
      </c>
      <c r="G30" s="87">
        <f t="shared" si="8"/>
        <v>0.0002500094711842398</v>
      </c>
      <c r="H30" s="87"/>
      <c r="I30" s="87" t="e">
        <f t="shared" si="9"/>
        <v>#DIV/0!</v>
      </c>
      <c r="J30" s="87"/>
      <c r="K30" s="54">
        <f t="shared" si="10"/>
        <v>0.0029982499337017103</v>
      </c>
      <c r="L30" s="55"/>
      <c r="M30" s="113" t="e">
        <f t="shared" si="11"/>
        <v>#DIV/0!</v>
      </c>
      <c r="N30" s="82">
        <f t="shared" si="12"/>
        <v>0.003</v>
      </c>
    </row>
    <row r="31" spans="2:14" ht="13.5">
      <c r="B31" s="41">
        <f t="shared" si="5"/>
        <v>1800</v>
      </c>
      <c r="C31" s="45">
        <f>(J17-D17)*$V$5</f>
        <v>85.1251583124207</v>
      </c>
      <c r="D31" s="45" t="e">
        <f t="shared" si="6"/>
        <v>#DIV/0!</v>
      </c>
      <c r="E31" s="53">
        <f>($S$5*($C$5-$E$5)*C31/1000000)/($R$5*101.13*22.41)</f>
        <v>3.365512112095535E-06</v>
      </c>
      <c r="F31" s="53" t="e">
        <f t="shared" si="7"/>
        <v>#DIV/0!</v>
      </c>
      <c r="G31" s="87">
        <f t="shared" si="8"/>
        <v>0.00048078744458507637</v>
      </c>
      <c r="H31" s="87"/>
      <c r="I31" s="87" t="e">
        <f t="shared" si="9"/>
        <v>#DIV/0!</v>
      </c>
      <c r="J31" s="87"/>
      <c r="K31" s="54">
        <f t="shared" si="10"/>
        <v>0.0029966344878879043</v>
      </c>
      <c r="L31" s="55"/>
      <c r="M31" s="113" t="e">
        <f t="shared" si="11"/>
        <v>#DIV/0!</v>
      </c>
      <c r="N31" s="82">
        <f t="shared" si="12"/>
        <v>0.003</v>
      </c>
    </row>
    <row r="32" spans="2:14" ht="13.5">
      <c r="B32" s="41">
        <f t="shared" si="5"/>
        <v>2400</v>
      </c>
      <c r="C32" s="45"/>
      <c r="D32" s="45" t="e">
        <f t="shared" si="6"/>
        <v>#DIV/0!</v>
      </c>
      <c r="E32" s="53"/>
      <c r="F32" s="53" t="e">
        <f t="shared" si="7"/>
        <v>#DIV/0!</v>
      </c>
      <c r="G32" s="87"/>
      <c r="H32" s="87"/>
      <c r="I32" s="87" t="e">
        <f t="shared" si="9"/>
        <v>#DIV/0!</v>
      </c>
      <c r="J32" s="87"/>
      <c r="K32" s="54"/>
      <c r="L32" s="55"/>
      <c r="M32" s="113" t="e">
        <f t="shared" si="11"/>
        <v>#DIV/0!</v>
      </c>
      <c r="N32" s="82">
        <f t="shared" si="12"/>
        <v>0.003</v>
      </c>
    </row>
    <row r="33" spans="2:14" ht="13.5">
      <c r="B33" s="41">
        <f t="shared" si="5"/>
        <v>3000</v>
      </c>
      <c r="C33" s="45">
        <f>(J19-D19)*$V$5</f>
        <v>143.0102659648668</v>
      </c>
      <c r="D33" s="45" t="e">
        <f t="shared" si="6"/>
        <v>#DIV/0!</v>
      </c>
      <c r="E33" s="53">
        <f>($S$5*($C$5-$E$5)*C33/1000000)/($R$5*101.13*22.41)</f>
        <v>5.6540603483205E-06</v>
      </c>
      <c r="F33" s="53" t="e">
        <f t="shared" si="7"/>
        <v>#DIV/0!</v>
      </c>
      <c r="G33" s="87">
        <f t="shared" si="8"/>
        <v>0.0008077229069029285</v>
      </c>
      <c r="H33" s="87"/>
      <c r="I33" s="87" t="e">
        <f t="shared" si="9"/>
        <v>#DIV/0!</v>
      </c>
      <c r="J33" s="87"/>
      <c r="K33" s="54">
        <f t="shared" si="10"/>
        <v>0.0029943459396516796</v>
      </c>
      <c r="L33" s="55"/>
      <c r="M33" s="113" t="e">
        <f t="shared" si="11"/>
        <v>#DIV/0!</v>
      </c>
      <c r="N33" s="82">
        <f t="shared" si="12"/>
        <v>0.003</v>
      </c>
    </row>
    <row r="34" spans="2:14" ht="14.25" thickBot="1">
      <c r="B34" s="42">
        <f t="shared" si="5"/>
        <v>3600</v>
      </c>
      <c r="C34" s="56">
        <f>(J20-D20)*$V$5</f>
        <v>177.06032928983507</v>
      </c>
      <c r="D34" s="56" t="e">
        <f t="shared" si="6"/>
        <v>#DIV/0!</v>
      </c>
      <c r="E34" s="57">
        <f>($S$5*($C$5-$E$5)*C34/1000000)/($R$5*101.13*22.41)</f>
        <v>7.000265193158714E-06</v>
      </c>
      <c r="F34" s="57" t="e">
        <f t="shared" si="7"/>
        <v>#DIV/0!</v>
      </c>
      <c r="G34" s="88">
        <f t="shared" si="8"/>
        <v>0.001000037884736959</v>
      </c>
      <c r="H34" s="88"/>
      <c r="I34" s="88" t="e">
        <f t="shared" si="9"/>
        <v>#DIV/0!</v>
      </c>
      <c r="J34" s="88"/>
      <c r="K34" s="58">
        <f t="shared" si="10"/>
        <v>0.0029929997348068413</v>
      </c>
      <c r="L34" s="59"/>
      <c r="M34" s="114" t="e">
        <f t="shared" si="11"/>
        <v>#DIV/0!</v>
      </c>
      <c r="N34" s="84">
        <f t="shared" si="12"/>
        <v>0.003</v>
      </c>
    </row>
    <row r="35" ht="14.25" thickTop="1"/>
    <row r="36" ht="14.25" thickBot="1">
      <c r="A36" t="s">
        <v>71</v>
      </c>
    </row>
    <row r="37" spans="2:8" ht="14.25" thickTop="1">
      <c r="B37" s="79" t="s">
        <v>52</v>
      </c>
      <c r="C37" s="85" t="s">
        <v>73</v>
      </c>
      <c r="D37" s="85"/>
      <c r="E37" s="85" t="s">
        <v>72</v>
      </c>
      <c r="F37" s="85"/>
      <c r="G37" s="85" t="s">
        <v>74</v>
      </c>
      <c r="H37" s="86"/>
    </row>
    <row r="38" spans="2:8" ht="13.5">
      <c r="B38" s="80"/>
      <c r="C38" s="50" t="s">
        <v>37</v>
      </c>
      <c r="D38" s="1"/>
      <c r="E38" s="50" t="s">
        <v>37</v>
      </c>
      <c r="F38" s="1"/>
      <c r="G38" s="50" t="s">
        <v>37</v>
      </c>
      <c r="H38" s="33"/>
    </row>
    <row r="39" spans="2:8" ht="13.5">
      <c r="B39" s="41">
        <f>B25</f>
        <v>0</v>
      </c>
      <c r="C39" s="45"/>
      <c r="D39" s="1"/>
      <c r="E39" s="53"/>
      <c r="F39" s="1"/>
      <c r="G39" s="53"/>
      <c r="H39" s="33"/>
    </row>
    <row r="40" spans="2:8" ht="13.5">
      <c r="B40" s="41">
        <f aca="true" t="shared" si="13" ref="B40:B48">B26</f>
        <v>60</v>
      </c>
      <c r="C40" s="53">
        <f>($K$25-K26)/B40</f>
        <v>0</v>
      </c>
      <c r="D40" s="1"/>
      <c r="E40" s="53">
        <f>LN($K$25/K26)/B40</f>
        <v>0</v>
      </c>
      <c r="F40" s="1"/>
      <c r="G40" s="53">
        <f>(1/K26-1/$K$25)/B40</f>
        <v>0</v>
      </c>
      <c r="H40" s="33"/>
    </row>
    <row r="41" spans="2:8" ht="13.5">
      <c r="B41" s="41">
        <f t="shared" si="13"/>
        <v>120</v>
      </c>
      <c r="C41" s="53">
        <f aca="true" t="shared" si="14" ref="C41:C48">($K$25-K27)/B41</f>
        <v>2.2436747413971668E-09</v>
      </c>
      <c r="D41" s="1"/>
      <c r="E41" s="53">
        <f>LN($K$25/K27)/B41</f>
        <v>7.479251429834539E-07</v>
      </c>
      <c r="F41" s="1"/>
      <c r="G41" s="53">
        <f aca="true" t="shared" si="15" ref="G41:G48">(1/K27-1/$K$25)/B41</f>
        <v>0.00024931956916939647</v>
      </c>
      <c r="H41" s="33"/>
    </row>
    <row r="42" spans="2:8" ht="13.5">
      <c r="B42" s="41">
        <f t="shared" si="13"/>
        <v>240</v>
      </c>
      <c r="C42" s="53">
        <f t="shared" si="14"/>
        <v>2.2436747413971668E-09</v>
      </c>
      <c r="D42" s="1"/>
      <c r="E42" s="53">
        <f aca="true" t="shared" si="16" ref="E42:E48">LN($K$25/K28)/B42</f>
        <v>7.479587095162624E-07</v>
      </c>
      <c r="F42" s="1"/>
      <c r="G42" s="53">
        <f t="shared" si="15"/>
        <v>0.00024934194886725434</v>
      </c>
      <c r="H42" s="33"/>
    </row>
    <row r="43" spans="2:8" ht="13.5">
      <c r="B43" s="41">
        <f t="shared" si="13"/>
        <v>480</v>
      </c>
      <c r="C43" s="53">
        <f t="shared" si="14"/>
        <v>1.9632153987225212E-09</v>
      </c>
      <c r="D43" s="1"/>
      <c r="E43" s="53">
        <f t="shared" si="16"/>
        <v>6.545079334942885E-07</v>
      </c>
      <c r="F43" s="1"/>
      <c r="G43" s="53">
        <f t="shared" si="15"/>
        <v>0.0002182035852046719</v>
      </c>
      <c r="H43" s="33"/>
    </row>
    <row r="44" spans="2:8" ht="13.5">
      <c r="B44" s="41">
        <f t="shared" si="13"/>
        <v>900</v>
      </c>
      <c r="C44" s="53">
        <f t="shared" si="14"/>
        <v>1.944518109210878E-09</v>
      </c>
      <c r="D44" s="1"/>
      <c r="E44" s="53">
        <f t="shared" si="16"/>
        <v>6.483618341616028E-07</v>
      </c>
      <c r="F44" s="1"/>
      <c r="G44" s="53">
        <f t="shared" si="15"/>
        <v>0.00021618367961410615</v>
      </c>
      <c r="H44" s="33"/>
    </row>
    <row r="45" spans="2:8" ht="13.5">
      <c r="B45" s="41">
        <f t="shared" si="13"/>
        <v>1800</v>
      </c>
      <c r="C45" s="53">
        <f t="shared" si="14"/>
        <v>1.869728951164306E-09</v>
      </c>
      <c r="D45" s="1"/>
      <c r="E45" s="53">
        <f t="shared" si="16"/>
        <v>6.235928340311385E-07</v>
      </c>
      <c r="F45" s="1"/>
      <c r="G45" s="53">
        <f t="shared" si="15"/>
        <v>0.00020798098207857645</v>
      </c>
      <c r="H45" s="33"/>
    </row>
    <row r="46" spans="2:8" ht="13.5">
      <c r="B46" s="41">
        <f t="shared" si="13"/>
        <v>2400</v>
      </c>
      <c r="C46" s="53"/>
      <c r="D46" s="1"/>
      <c r="E46" s="53"/>
      <c r="F46" s="1"/>
      <c r="G46" s="53"/>
      <c r="H46" s="33"/>
    </row>
    <row r="47" spans="2:8" ht="13.5">
      <c r="B47" s="41">
        <f t="shared" si="13"/>
        <v>3000</v>
      </c>
      <c r="C47" s="53">
        <f t="shared" si="14"/>
        <v>1.8846867827734755E-09</v>
      </c>
      <c r="D47" s="1"/>
      <c r="E47" s="53">
        <f t="shared" si="16"/>
        <v>6.288216798547028E-07</v>
      </c>
      <c r="F47" s="1"/>
      <c r="G47" s="53">
        <f t="shared" si="15"/>
        <v>0.0002098050593527129</v>
      </c>
      <c r="H47" s="33"/>
    </row>
    <row r="48" spans="2:8" ht="13.5">
      <c r="B48" s="98">
        <f t="shared" si="13"/>
        <v>3600</v>
      </c>
      <c r="C48" s="99">
        <f t="shared" si="14"/>
        <v>1.9445181092107575E-09</v>
      </c>
      <c r="D48" s="15"/>
      <c r="E48" s="53">
        <f t="shared" si="16"/>
        <v>6.489301116708739E-07</v>
      </c>
      <c r="F48" s="15"/>
      <c r="G48" s="53">
        <f t="shared" si="15"/>
        <v>0.00021656290026770522</v>
      </c>
      <c r="H48" s="103"/>
    </row>
    <row r="49" spans="2:8" ht="13.5">
      <c r="B49" s="104" t="s">
        <v>76</v>
      </c>
      <c r="C49" s="101">
        <f>AVERAGE(C41:C45,C47:C48)</f>
        <v>2.0134309762680386E-09</v>
      </c>
      <c r="D49" s="100"/>
      <c r="E49" s="101">
        <f>AVERAGE(E41:E45,E47:E48)</f>
        <v>6.714426065303319E-07</v>
      </c>
      <c r="F49" s="100"/>
      <c r="G49" s="101">
        <f>AVERAGE(G41:G45,G47:G48)</f>
        <v>0.0002239139606506319</v>
      </c>
      <c r="H49" s="105"/>
    </row>
    <row r="50" spans="2:8" ht="13.5">
      <c r="B50" s="104" t="s">
        <v>75</v>
      </c>
      <c r="C50" s="102">
        <f>STDEV(C41:C45,C47:C48)</f>
        <v>1.6086707393553012E-10</v>
      </c>
      <c r="D50" s="100"/>
      <c r="E50" s="102">
        <f>STDEV(E41:E45,E47:E48)</f>
        <v>5.3442732817696965E-08</v>
      </c>
      <c r="F50" s="100"/>
      <c r="G50" s="101">
        <f>STDEV(G41:G45,G47:G48)</f>
        <v>1.7754586977061906E-05</v>
      </c>
      <c r="H50" s="105"/>
    </row>
    <row r="51" spans="2:8" ht="13.5">
      <c r="B51" s="104" t="s">
        <v>77</v>
      </c>
      <c r="C51" s="102">
        <f>C50/C49*100</f>
        <v>7.9896989681614325</v>
      </c>
      <c r="D51" s="100"/>
      <c r="E51" s="102">
        <f>E50/E49*100</f>
        <v>7.959389573721181</v>
      </c>
      <c r="F51" s="100"/>
      <c r="G51" s="101">
        <f>G50/G49*100</f>
        <v>7.929200540007421</v>
      </c>
      <c r="H51" s="105"/>
    </row>
    <row r="52" spans="2:8" ht="13.5">
      <c r="B52" s="106" t="s">
        <v>78</v>
      </c>
      <c r="C52" s="53">
        <f>K25/(2*C49)</f>
        <v>744996.9816101171</v>
      </c>
      <c r="D52" s="1"/>
      <c r="E52" s="53">
        <f>LN(2)/E49</f>
        <v>1032325.2856141665</v>
      </c>
      <c r="F52" s="1"/>
      <c r="G52" s="53">
        <f>1/(G49*K25)</f>
        <v>1488667.0414151894</v>
      </c>
      <c r="H52" s="33"/>
    </row>
    <row r="53" spans="2:8" ht="13.5">
      <c r="B53" s="107" t="s">
        <v>79</v>
      </c>
      <c r="C53" s="87">
        <f>K25/C49</f>
        <v>1489993.9632202343</v>
      </c>
      <c r="D53" s="81"/>
      <c r="E53" s="81"/>
      <c r="F53" s="81"/>
      <c r="G53" s="81"/>
      <c r="H53" s="82"/>
    </row>
    <row r="54" spans="2:8" ht="14.25" thickBot="1">
      <c r="B54" s="108"/>
      <c r="C54" s="83"/>
      <c r="D54" s="83"/>
      <c r="E54" s="83"/>
      <c r="F54" s="83"/>
      <c r="G54" s="83"/>
      <c r="H54" s="84"/>
    </row>
    <row r="55" ht="14.25" thickTop="1"/>
  </sheetData>
  <sheetProtection/>
  <mergeCells count="71">
    <mergeCell ref="H53:H54"/>
    <mergeCell ref="B53:B54"/>
    <mergeCell ref="E53:E54"/>
    <mergeCell ref="G53:G54"/>
    <mergeCell ref="C53:C54"/>
    <mergeCell ref="D53:D54"/>
    <mergeCell ref="F53:F54"/>
    <mergeCell ref="E23:F23"/>
    <mergeCell ref="K3:K4"/>
    <mergeCell ref="B9:B10"/>
    <mergeCell ref="C9:C10"/>
    <mergeCell ref="D9:I9"/>
    <mergeCell ref="J9:O9"/>
    <mergeCell ref="B23:B24"/>
    <mergeCell ref="P3:P4"/>
    <mergeCell ref="J3:J4"/>
    <mergeCell ref="L3:L4"/>
    <mergeCell ref="R3:R4"/>
    <mergeCell ref="S3:S4"/>
    <mergeCell ref="T3:T4"/>
    <mergeCell ref="G3:G4"/>
    <mergeCell ref="C23:D23"/>
    <mergeCell ref="B3:B4"/>
    <mergeCell ref="C3:C4"/>
    <mergeCell ref="D3:D4"/>
    <mergeCell ref="E3:E4"/>
    <mergeCell ref="F3:F4"/>
    <mergeCell ref="V3:V4"/>
    <mergeCell ref="G23:J23"/>
    <mergeCell ref="G24:H24"/>
    <mergeCell ref="I24:J24"/>
    <mergeCell ref="G25:H25"/>
    <mergeCell ref="G26:H26"/>
    <mergeCell ref="M25:N25"/>
    <mergeCell ref="M26:N26"/>
    <mergeCell ref="U3:U4"/>
    <mergeCell ref="Q3:Q4"/>
    <mergeCell ref="I29:J29"/>
    <mergeCell ref="I30:J30"/>
    <mergeCell ref="I31:J31"/>
    <mergeCell ref="I32:J32"/>
    <mergeCell ref="G27:H27"/>
    <mergeCell ref="G28:H28"/>
    <mergeCell ref="G29:H29"/>
    <mergeCell ref="G30:H30"/>
    <mergeCell ref="G31:H31"/>
    <mergeCell ref="G32:H32"/>
    <mergeCell ref="M3:M4"/>
    <mergeCell ref="K23:N23"/>
    <mergeCell ref="K24:L24"/>
    <mergeCell ref="M24:N24"/>
    <mergeCell ref="G33:H33"/>
    <mergeCell ref="G34:H34"/>
    <mergeCell ref="I25:J25"/>
    <mergeCell ref="I26:J26"/>
    <mergeCell ref="I27:J27"/>
    <mergeCell ref="I28:J28"/>
    <mergeCell ref="M27:N27"/>
    <mergeCell ref="M28:N28"/>
    <mergeCell ref="M29:N29"/>
    <mergeCell ref="M30:N30"/>
    <mergeCell ref="M31:N31"/>
    <mergeCell ref="M32:N32"/>
    <mergeCell ref="M33:N33"/>
    <mergeCell ref="M34:N34"/>
    <mergeCell ref="B37:B38"/>
    <mergeCell ref="C37:D37"/>
    <mergeCell ref="E37:F37"/>
    <mergeCell ref="G37:H37"/>
    <mergeCell ref="I33:J33"/>
    <mergeCell ref="I34:J3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yazawa</dc:creator>
  <cp:keywords/>
  <dc:description/>
  <cp:lastModifiedBy>yazawa</cp:lastModifiedBy>
  <cp:lastPrinted>2012-04-18T02:59:30Z</cp:lastPrinted>
  <dcterms:created xsi:type="dcterms:W3CDTF">2012-04-17T08:35:48Z</dcterms:created>
  <dcterms:modified xsi:type="dcterms:W3CDTF">2012-04-25T02:30:16Z</dcterms:modified>
  <cp:category/>
  <cp:version/>
  <cp:contentType/>
  <cp:contentStatus/>
</cp:coreProperties>
</file>